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0" yWindow="460" windowWidth="12120" windowHeight="9120" activeTab="0"/>
  </bookViews>
  <sheets>
    <sheet name="Summary" sheetId="1" r:id="rId1"/>
    <sheet name="Definitions" sheetId="2" r:id="rId2"/>
    <sheet name="Available Funds" sheetId="3" r:id="rId3"/>
  </sheets>
  <definedNames>
    <definedName name="_xlnm.Print_Area" localSheetId="1">'Definitions'!$A$1:$I$52</definedName>
  </definedNames>
  <calcPr fullCalcOnLoad="1"/>
</workbook>
</file>

<file path=xl/comments1.xml><?xml version="1.0" encoding="utf-8"?>
<comments xmlns="http://schemas.openxmlformats.org/spreadsheetml/2006/main">
  <authors>
    <author>Rhonda Rasmussen</author>
  </authors>
  <commentList>
    <comment ref="A7" authorId="0">
      <text>
        <r>
          <rPr>
            <b/>
            <sz val="8"/>
            <rFont val="Tahoma"/>
            <family val="0"/>
          </rPr>
          <t>Rhonda Rasmussen:</t>
        </r>
        <r>
          <rPr>
            <sz val="8"/>
            <rFont val="Tahoma"/>
            <family val="0"/>
          </rPr>
          <t xml:space="preserve">
Source - Block Revenue revenue report provided by Corporate Finance. </t>
        </r>
      </text>
    </comment>
    <comment ref="A9" authorId="0">
      <text>
        <r>
          <rPr>
            <b/>
            <sz val="8"/>
            <rFont val="Tahoma"/>
            <family val="0"/>
          </rPr>
          <t>Rhonda Rasmussen:</t>
        </r>
        <r>
          <rPr>
            <sz val="8"/>
            <rFont val="Tahoma"/>
            <family val="0"/>
          </rPr>
          <t xml:space="preserve">
Supply costs are based an allocation of total system block sales at the time and the percentage of sales from Utah. 
</t>
        </r>
      </text>
    </comment>
    <comment ref="A11" authorId="0">
      <text>
        <r>
          <rPr>
            <b/>
            <sz val="8"/>
            <rFont val="Tahoma"/>
            <family val="0"/>
          </rPr>
          <t>Rhonda Rasmussen:</t>
        </r>
        <r>
          <rPr>
            <sz val="8"/>
            <rFont val="Tahoma"/>
            <family val="0"/>
          </rPr>
          <t xml:space="preserve">
Utah costs per internal order</t>
        </r>
      </text>
    </comment>
    <comment ref="A17" authorId="0">
      <text>
        <r>
          <rPr>
            <b/>
            <sz val="8"/>
            <rFont val="Tahoma"/>
            <family val="0"/>
          </rPr>
          <t>Rhonda Rasmussen:</t>
        </r>
        <r>
          <rPr>
            <sz val="8"/>
            <rFont val="Tahoma"/>
            <family val="0"/>
          </rPr>
          <t xml:space="preserve">
61% of total costs allocated to Utah. 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Rhonda Rasmussen: August 2007
</t>
        </r>
      </text>
    </comment>
    <comment ref="E43" authorId="0">
      <text>
        <r>
          <rPr>
            <b/>
            <sz val="8"/>
            <rFont val="Tahoma"/>
            <family val="0"/>
          </rPr>
          <t>Rhonda Rasmussen:</t>
        </r>
        <r>
          <rPr>
            <sz val="8"/>
            <rFont val="Tahoma"/>
            <family val="0"/>
          </rPr>
          <t xml:space="preserve">
Utah Block sales represent 52% of total blocks sales for the reporting period. </t>
        </r>
      </text>
    </comment>
    <comment ref="E44" authorId="0">
      <text>
        <r>
          <rPr>
            <b/>
            <sz val="8"/>
            <rFont val="Tahoma"/>
            <family val="0"/>
          </rPr>
          <t>Rhonda Rasmussen:</t>
        </r>
        <r>
          <rPr>
            <sz val="8"/>
            <rFont val="Tahoma"/>
            <family val="0"/>
          </rPr>
          <t xml:space="preserve">
Utah Block sales represent 52% of total blocks sales for the reporting period. </t>
        </r>
      </text>
    </comment>
    <comment ref="E45" authorId="0">
      <text>
        <r>
          <rPr>
            <b/>
            <sz val="8"/>
            <rFont val="Tahoma"/>
            <family val="0"/>
          </rPr>
          <t>Rhonda Rasmussen:</t>
        </r>
        <r>
          <rPr>
            <sz val="8"/>
            <rFont val="Tahoma"/>
            <family val="0"/>
          </rPr>
          <t xml:space="preserve">
Utah Block sales represent 52% of total blocks sales for the reporting period. </t>
        </r>
      </text>
    </comment>
    <comment ref="E46" authorId="0">
      <text>
        <r>
          <rPr>
            <b/>
            <sz val="8"/>
            <rFont val="Tahoma"/>
            <family val="0"/>
          </rPr>
          <t>Rhonda Rasmussen:</t>
        </r>
        <r>
          <rPr>
            <sz val="8"/>
            <rFont val="Tahoma"/>
            <family val="0"/>
          </rPr>
          <t xml:space="preserve">
Utah Block sales represent 52% of total blocks sales for the reporting period. </t>
        </r>
      </text>
    </comment>
    <comment ref="E47" authorId="0">
      <text>
        <r>
          <rPr>
            <b/>
            <sz val="8"/>
            <rFont val="Tahoma"/>
            <family val="0"/>
          </rPr>
          <t>Rhonda Rasmussen:</t>
        </r>
        <r>
          <rPr>
            <sz val="8"/>
            <rFont val="Tahoma"/>
            <family val="0"/>
          </rPr>
          <t xml:space="preserve">
Utah Block sales represent 52% of total blocks sales for the reporting period. </t>
        </r>
      </text>
    </comment>
    <comment ref="E48" authorId="0">
      <text>
        <r>
          <rPr>
            <b/>
            <sz val="8"/>
            <rFont val="Tahoma"/>
            <family val="0"/>
          </rPr>
          <t>Rhonda Rasmussen:</t>
        </r>
        <r>
          <rPr>
            <sz val="8"/>
            <rFont val="Tahoma"/>
            <family val="0"/>
          </rPr>
          <t xml:space="preserve">
Utah Block sales represent 52% of total blocks sales for the reporting period. </t>
        </r>
      </text>
    </comment>
  </commentList>
</comments>
</file>

<file path=xl/sharedStrings.xml><?xml version="1.0" encoding="utf-8"?>
<sst xmlns="http://schemas.openxmlformats.org/spreadsheetml/2006/main" count="202" uniqueCount="145">
  <si>
    <t>Utah Projects</t>
  </si>
  <si>
    <t>Oregon Projects</t>
  </si>
  <si>
    <t xml:space="preserve">Utah Projects </t>
  </si>
  <si>
    <t>Redmond Airport - 57 kw solar</t>
  </si>
  <si>
    <t xml:space="preserve">Oregon Projects </t>
  </si>
  <si>
    <t>Idaho Projects</t>
  </si>
  <si>
    <t xml:space="preserve">Wyoming Projects </t>
  </si>
  <si>
    <t>TOTAL  - 2006</t>
  </si>
  <si>
    <t>TOTAL  - 2007</t>
  </si>
  <si>
    <t xml:space="preserve">Ending Balance - Available Funds - August 2007 </t>
  </si>
  <si>
    <t xml:space="preserve">Beginning Available Fund Balance - August 2006 (total program-all states) </t>
  </si>
  <si>
    <t xml:space="preserve">Available Balance Accrued September 2006 through August 2007  (total program-all states) </t>
  </si>
  <si>
    <t xml:space="preserve">Community Projects Awarded - 2006 (for reporting period) </t>
  </si>
  <si>
    <t xml:space="preserve">Community Projects Awarded - 2007 (for reporting period) </t>
  </si>
  <si>
    <t xml:space="preserve">    Moab Public Radio - 12 kw solar </t>
  </si>
  <si>
    <t xml:space="preserve">    The Leonardo at Library Square  - 25 kw solar </t>
  </si>
  <si>
    <t xml:space="preserve">    Swaner Nature Preserve  - 12 kw solar </t>
  </si>
  <si>
    <t xml:space="preserve">    Town of Alta - 3 kw solar </t>
  </si>
  <si>
    <t xml:space="preserve">    Ogden Nature Center - 3.3 kw wind &amp; solar demonstration project </t>
  </si>
  <si>
    <t xml:space="preserve">    Renewable Synergy - West Jordan Schools  - 2.4 kw solar </t>
  </si>
  <si>
    <t xml:space="preserve">    Utah State Office of Education - 7.2 kw wind turbines</t>
  </si>
  <si>
    <t xml:space="preserve">    Hogle Zoo - 10 kw solar </t>
  </si>
  <si>
    <t xml:space="preserve">    Port of Portland - 300 kw solar   </t>
  </si>
  <si>
    <t xml:space="preserve">    City of Lava Hot Springs - 10 kw solar </t>
  </si>
  <si>
    <t xml:space="preserve">    National Outdoor Leadership School - 6.48 kw solar </t>
  </si>
  <si>
    <t xml:space="preserve">    Casper College - 10 kw wind turbine </t>
  </si>
  <si>
    <t>Other Funds Commited</t>
  </si>
  <si>
    <t xml:space="preserve">    Oregon Institute of Technology - 5.3 kw solar wind &amp; solar demonstration project </t>
  </si>
  <si>
    <t>Utah Clean Energy (UCE provides application and project completion assistance.  No project.)</t>
  </si>
  <si>
    <t xml:space="preserve">    Oregon State University - 0.5 - 20 kw - wave demonstration project.  Under construction.</t>
  </si>
  <si>
    <t>Construction Status</t>
  </si>
  <si>
    <t>Completion Date</t>
  </si>
  <si>
    <t>Completed</t>
  </si>
  <si>
    <t>N/A</t>
  </si>
  <si>
    <t>Under construction.</t>
  </si>
  <si>
    <t>Spring 2008</t>
  </si>
  <si>
    <t>Entheos Academy - 2.4 kw solar</t>
  </si>
  <si>
    <t>Tracy Aviary - 5 kw solar</t>
  </si>
  <si>
    <t>Westminster College - 20  kw solar</t>
  </si>
  <si>
    <t>Moab Arts &amp; Recs Center - 20 kw solar</t>
  </si>
  <si>
    <t>Park City 5.4 kw - wind &amp; solar</t>
  </si>
  <si>
    <t>Bend Centeniall Parking Plaza - 200 kw solar</t>
  </si>
  <si>
    <t>Hartman Ranch - 17 kw solar</t>
  </si>
  <si>
    <t>Fourth Quarter 2008</t>
  </si>
  <si>
    <t>Design phase.</t>
  </si>
  <si>
    <t>Spring of 2008</t>
  </si>
  <si>
    <t>TBD</t>
  </si>
  <si>
    <t>Fourth Quarter 2007</t>
  </si>
  <si>
    <t>First Quarter 2010</t>
  </si>
  <si>
    <t xml:space="preserve">    City of Astoria - 4.3 mw din &amp; hydro - Feasibility Study </t>
  </si>
  <si>
    <t>First Quarter 2008</t>
  </si>
  <si>
    <t>Summer of 2008</t>
  </si>
  <si>
    <t xml:space="preserve">    Clark Planetarium - 25 kw solar</t>
  </si>
  <si>
    <t>Rocky Mountain Power
Blue Sky Program
Total Company Program Available Funds
For the Period September 2006 - August 2007</t>
  </si>
  <si>
    <t xml:space="preserve">    Girl Scout Council of Wyoming - Casper - 1.8 kw wind turbine  </t>
  </si>
  <si>
    <t>ROCKY MOUNTAIN POWER</t>
  </si>
  <si>
    <t xml:space="preserve">BLUE SKY RENEWABLE ENERGY PROGRAM - UTAH ONLY </t>
  </si>
  <si>
    <t>SEPTEMBER 2006 - AUGUST 2007</t>
  </si>
  <si>
    <t xml:space="preserve">TOTAL </t>
  </si>
  <si>
    <t xml:space="preserve">REVENUE </t>
  </si>
  <si>
    <t xml:space="preserve">RENEWABLE ENERGY CREDITS (TAG) COSTS </t>
  </si>
  <si>
    <t xml:space="preserve">Customer Communications </t>
  </si>
  <si>
    <t xml:space="preserve">Affinity groups </t>
  </si>
  <si>
    <t xml:space="preserve">Business partnership program </t>
  </si>
  <si>
    <t>Fulfillment-Energy Program Support</t>
  </si>
  <si>
    <t xml:space="preserve">Printed collateral </t>
  </si>
  <si>
    <t xml:space="preserve">Product Management </t>
  </si>
  <si>
    <t>TOTAL COSTS</t>
  </si>
  <si>
    <t>Available Funds</t>
  </si>
  <si>
    <t>*Interest Earned</t>
  </si>
  <si>
    <t>Total Available Funds</t>
  </si>
  <si>
    <t xml:space="preserve">TOTAL MONTHLY 100 KWH BLOCK SALES </t>
  </si>
  <si>
    <t>TOTAL KWH</t>
  </si>
  <si>
    <t xml:space="preserve">Residential </t>
  </si>
  <si>
    <t xml:space="preserve">Non-Residential </t>
  </si>
  <si>
    <t>Total</t>
  </si>
  <si>
    <t>New</t>
  </si>
  <si>
    <t>Existing</t>
  </si>
  <si>
    <t>Customers</t>
  </si>
  <si>
    <t>Blocks</t>
  </si>
  <si>
    <t>Renewables</t>
  </si>
  <si>
    <t>Product Name</t>
  </si>
  <si>
    <t>Block Size (kWh)</t>
  </si>
  <si>
    <t>Blocks Sold</t>
  </si>
  <si>
    <t>Sold</t>
  </si>
  <si>
    <t>MWH Sold</t>
  </si>
  <si>
    <t xml:space="preserve">Blue Sky </t>
  </si>
  <si>
    <t xml:space="preserve">Block Product Purchases - Blue Sky Block </t>
  </si>
  <si>
    <t xml:space="preserve">List of New Renewable Purchases and Generation Used to Meet Sales Requirement </t>
  </si>
  <si>
    <t>Generator</t>
  </si>
  <si>
    <t>Total MWH</t>
  </si>
  <si>
    <t>Net MWH</t>
  </si>
  <si>
    <t>Facility</t>
  </si>
  <si>
    <t>Facility Name</t>
  </si>
  <si>
    <t>of Attestations</t>
  </si>
  <si>
    <t>MWH</t>
  </si>
  <si>
    <t xml:space="preserve">Used to </t>
  </si>
  <si>
    <t>Renewable</t>
  </si>
  <si>
    <t>Date</t>
  </si>
  <si>
    <t>Installation</t>
  </si>
  <si>
    <t>Tradable</t>
  </si>
  <si>
    <t>or Wholesale</t>
  </si>
  <si>
    <t>Location</t>
  </si>
  <si>
    <t>Purchased or</t>
  </si>
  <si>
    <t>Resold or</t>
  </si>
  <si>
    <t xml:space="preserve">Meet Sales </t>
  </si>
  <si>
    <t>Fuel</t>
  </si>
  <si>
    <t>Generated</t>
  </si>
  <si>
    <t>Supplier</t>
  </si>
  <si>
    <t>(City, State)</t>
  </si>
  <si>
    <t>Self Consumed</t>
  </si>
  <si>
    <t>Requirement</t>
  </si>
  <si>
    <t>Type</t>
  </si>
  <si>
    <t>(Mo/Yr)</t>
  </si>
  <si>
    <t>Credits?</t>
  </si>
  <si>
    <t>Pleasant Valley</t>
  </si>
  <si>
    <t>Evanston, WY</t>
  </si>
  <si>
    <t xml:space="preserve">Wind </t>
  </si>
  <si>
    <t>Jan-06 to Jun-06</t>
  </si>
  <si>
    <t>Dec-2003</t>
  </si>
  <si>
    <t xml:space="preserve">Yes </t>
  </si>
  <si>
    <t>Oct-05 to Mar-06</t>
  </si>
  <si>
    <t>Yes</t>
  </si>
  <si>
    <t xml:space="preserve">Foote Creek IV </t>
  </si>
  <si>
    <t>Carbon County, WY</t>
  </si>
  <si>
    <t>Jan-06 to Dec-06</t>
  </si>
  <si>
    <t xml:space="preserve">Horseshoe Bend </t>
  </si>
  <si>
    <t>Great Falls, MT</t>
  </si>
  <si>
    <t>Jan-06 to Jan-07</t>
  </si>
  <si>
    <t>Jan-2006</t>
  </si>
  <si>
    <t>Klondike II</t>
  </si>
  <si>
    <t>Sherman County, OR</t>
  </si>
  <si>
    <t>Jul-06 to Dec-06</t>
  </si>
  <si>
    <t>Oct-2005</t>
  </si>
  <si>
    <t xml:space="preserve">Judith Gap </t>
  </si>
  <si>
    <t>Wheatland County, MT</t>
  </si>
  <si>
    <t>Jul-06 to Jun-07</t>
  </si>
  <si>
    <t>Dec-2005</t>
  </si>
  <si>
    <t>Total New Renewable</t>
  </si>
  <si>
    <t>*Ratemaking Treatment effective August 28, 2007</t>
  </si>
  <si>
    <t>Revenues are charged to FERC 254, Other regulatory liabilities</t>
  </si>
  <si>
    <t>Renewable Energy Credits (RECs or Tags) are charged to FERC 254, Other regulatory liabilities</t>
  </si>
  <si>
    <t>Program expenses are charged to FERC 254, Other regulatory liabilities</t>
  </si>
  <si>
    <r>
      <t xml:space="preserve">PROGRAM COSTS
</t>
    </r>
    <r>
      <rPr>
        <sz val="8"/>
        <rFont val="Verdana"/>
        <family val="2"/>
      </rPr>
      <t>(See sheet 2 for definitions)</t>
    </r>
    <r>
      <rPr>
        <b/>
        <sz val="9"/>
        <rFont val="Verdana"/>
        <family val="2"/>
      </rPr>
      <t xml:space="preserve"> </t>
    </r>
  </si>
  <si>
    <t>Contractual obligation for purchase of RECs (payable over five years beginning in 2008) 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</si>
</sst>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_(* #,##0_);_(* \(#,##0\);_(* &quot;-&quot;??_);_(@_)"/>
  </numFmts>
  <fonts count="65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7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0"/>
      <color indexed="12"/>
      <name val="Arial"/>
      <family val="2"/>
    </font>
    <font>
      <sz val="9"/>
      <name val="Arial"/>
      <family val="0"/>
    </font>
    <font>
      <b/>
      <u val="single"/>
      <sz val="10"/>
      <name val="Century Gothic"/>
      <family val="2"/>
    </font>
    <font>
      <u val="singleAccounting"/>
      <sz val="10"/>
      <name val="Century Gothic"/>
      <family val="2"/>
    </font>
    <font>
      <sz val="8"/>
      <name val="Verdana"/>
      <family val="2"/>
    </font>
    <font>
      <b/>
      <sz val="12"/>
      <name val="Candara"/>
      <family val="2"/>
    </font>
    <font>
      <sz val="12"/>
      <name val="Candara"/>
      <family val="2"/>
    </font>
    <font>
      <sz val="9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Verdana"/>
      <family val="2"/>
    </font>
    <font>
      <u val="single"/>
      <sz val="9"/>
      <name val="Verdana"/>
      <family val="2"/>
    </font>
    <font>
      <b/>
      <u val="single"/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indent="4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44" fontId="1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 indent="1"/>
    </xf>
    <xf numFmtId="0" fontId="6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 wrapText="1"/>
    </xf>
    <xf numFmtId="44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4" fontId="1" fillId="0" borderId="14" xfId="0" applyNumberFormat="1" applyFont="1" applyBorder="1" applyAlignment="1">
      <alignment/>
    </xf>
    <xf numFmtId="42" fontId="1" fillId="35" borderId="10" xfId="0" applyNumberFormat="1" applyFont="1" applyFill="1" applyBorder="1" applyAlignment="1">
      <alignment horizontal="center"/>
    </xf>
    <xf numFmtId="42" fontId="1" fillId="0" borderId="10" xfId="0" applyNumberFormat="1" applyFont="1" applyFill="1" applyBorder="1" applyAlignment="1">
      <alignment horizontal="center"/>
    </xf>
    <xf numFmtId="42" fontId="1" fillId="0" borderId="10" xfId="0" applyNumberFormat="1" applyFont="1" applyBorder="1" applyAlignment="1">
      <alignment/>
    </xf>
    <xf numFmtId="42" fontId="2" fillId="35" borderId="10" xfId="0" applyNumberFormat="1" applyFont="1" applyFill="1" applyBorder="1" applyAlignment="1">
      <alignment/>
    </xf>
    <xf numFmtId="42" fontId="1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2" fontId="1" fillId="36" borderId="10" xfId="0" applyNumberFormat="1" applyFont="1" applyFill="1" applyBorder="1" applyAlignment="1">
      <alignment/>
    </xf>
    <xf numFmtId="42" fontId="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4" fillId="35" borderId="10" xfId="0" applyNumberFormat="1" applyFont="1" applyFill="1" applyBorder="1" applyAlignment="1">
      <alignment/>
    </xf>
    <xf numFmtId="42" fontId="2" fillId="34" borderId="10" xfId="0" applyNumberFormat="1" applyFont="1" applyFill="1" applyBorder="1" applyAlignment="1">
      <alignment/>
    </xf>
    <xf numFmtId="17" fontId="2" fillId="33" borderId="10" xfId="0" applyNumberFormat="1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left" indent="1"/>
    </xf>
    <xf numFmtId="42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7" fontId="1" fillId="0" borderId="10" xfId="0" applyNumberFormat="1" applyFont="1" applyBorder="1" applyAlignment="1">
      <alignment horizontal="left" indent="1"/>
    </xf>
    <xf numFmtId="42" fontId="1" fillId="0" borderId="10" xfId="44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42" fontId="1" fillId="0" borderId="10" xfId="44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42" fontId="17" fillId="0" borderId="10" xfId="0" applyNumberFormat="1" applyFont="1" applyBorder="1" applyAlignment="1">
      <alignment/>
    </xf>
    <xf numFmtId="17" fontId="2" fillId="37" borderId="10" xfId="0" applyNumberFormat="1" applyFont="1" applyFill="1" applyBorder="1" applyAlignment="1">
      <alignment horizontal="right" indent="2"/>
    </xf>
    <xf numFmtId="42" fontId="1" fillId="37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17" fontId="1" fillId="0" borderId="10" xfId="0" applyNumberFormat="1" applyFont="1" applyBorder="1" applyAlignment="1">
      <alignment horizontal="left" wrapText="1" indent="2"/>
    </xf>
    <xf numFmtId="42" fontId="1" fillId="36" borderId="10" xfId="44" applyNumberFormat="1" applyFont="1" applyFill="1" applyBorder="1" applyAlignment="1">
      <alignment/>
    </xf>
    <xf numFmtId="17" fontId="1" fillId="0" borderId="10" xfId="0" applyNumberFormat="1" applyFont="1" applyBorder="1" applyAlignment="1">
      <alignment horizontal="left" indent="2"/>
    </xf>
    <xf numFmtId="42" fontId="17" fillId="0" borderId="10" xfId="44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2" fontId="2" fillId="37" borderId="10" xfId="44" applyNumberFormat="1" applyFont="1" applyFill="1" applyBorder="1" applyAlignment="1">
      <alignment/>
    </xf>
    <xf numFmtId="37" fontId="0" fillId="37" borderId="10" xfId="0" applyNumberFormat="1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right" indent="2"/>
    </xf>
    <xf numFmtId="42" fontId="2" fillId="0" borderId="10" xfId="44" applyNumberFormat="1" applyFont="1" applyFill="1" applyBorder="1" applyAlignment="1">
      <alignment/>
    </xf>
    <xf numFmtId="37" fontId="0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2" fillId="38" borderId="17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2" fillId="38" borderId="20" xfId="0" applyFont="1" applyFill="1" applyBorder="1" applyAlignment="1">
      <alignment/>
    </xf>
    <xf numFmtId="0" fontId="3" fillId="38" borderId="21" xfId="0" applyFont="1" applyFill="1" applyBorder="1" applyAlignment="1">
      <alignment/>
    </xf>
    <xf numFmtId="0" fontId="3" fillId="38" borderId="2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1" fillId="0" borderId="10" xfId="0" applyFont="1" applyBorder="1" applyAlignment="1">
      <alignment/>
    </xf>
    <xf numFmtId="17" fontId="25" fillId="38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right"/>
    </xf>
    <xf numFmtId="168" fontId="21" fillId="38" borderId="10" xfId="44" applyNumberFormat="1" applyFont="1" applyFill="1" applyBorder="1" applyAlignment="1">
      <alignment/>
    </xf>
    <xf numFmtId="168" fontId="21" fillId="34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168" fontId="21" fillId="0" borderId="10" xfId="44" applyNumberFormat="1" applyFont="1" applyFill="1" applyBorder="1" applyAlignment="1">
      <alignment/>
    </xf>
    <xf numFmtId="168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right" wrapText="1"/>
    </xf>
    <xf numFmtId="168" fontId="15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right" indent="1"/>
    </xf>
    <xf numFmtId="168" fontId="15" fillId="0" borderId="10" xfId="44" applyNumberFormat="1" applyFont="1" applyBorder="1" applyAlignment="1">
      <alignment/>
    </xf>
    <xf numFmtId="0" fontId="28" fillId="39" borderId="10" xfId="0" applyFont="1" applyFill="1" applyBorder="1" applyAlignment="1">
      <alignment horizontal="right" indent="1"/>
    </xf>
    <xf numFmtId="0" fontId="24" fillId="34" borderId="10" xfId="0" applyFont="1" applyFill="1" applyBorder="1" applyAlignment="1">
      <alignment horizontal="right"/>
    </xf>
    <xf numFmtId="168" fontId="21" fillId="0" borderId="0" xfId="0" applyNumberFormat="1" applyFont="1" applyFill="1" applyAlignment="1">
      <alignment/>
    </xf>
    <xf numFmtId="0" fontId="24" fillId="38" borderId="16" xfId="0" applyFont="1" applyFill="1" applyBorder="1" applyAlignment="1">
      <alignment horizontal="right"/>
    </xf>
    <xf numFmtId="168" fontId="21" fillId="0" borderId="23" xfId="44" applyNumberFormat="1" applyFont="1" applyFill="1" applyBorder="1" applyAlignment="1">
      <alignment/>
    </xf>
    <xf numFmtId="168" fontId="21" fillId="0" borderId="24" xfId="44" applyNumberFormat="1" applyFont="1" applyFill="1" applyBorder="1" applyAlignment="1">
      <alignment/>
    </xf>
    <xf numFmtId="168" fontId="21" fillId="0" borderId="25" xfId="0" applyNumberFormat="1" applyFont="1" applyFill="1" applyBorder="1" applyAlignment="1">
      <alignment/>
    </xf>
    <xf numFmtId="44" fontId="21" fillId="0" borderId="0" xfId="44" applyFont="1" applyFill="1" applyBorder="1" applyAlignment="1">
      <alignment/>
    </xf>
    <xf numFmtId="44" fontId="21" fillId="0" borderId="0" xfId="0" applyNumberFormat="1" applyFont="1" applyFill="1" applyBorder="1" applyAlignment="1">
      <alignment/>
    </xf>
    <xf numFmtId="0" fontId="21" fillId="0" borderId="10" xfId="0" applyFont="1" applyBorder="1" applyAlignment="1">
      <alignment horizontal="left" wrapText="1"/>
    </xf>
    <xf numFmtId="169" fontId="21" fillId="40" borderId="10" xfId="42" applyNumberFormat="1" applyFont="1" applyFill="1" applyBorder="1" applyAlignment="1">
      <alignment/>
    </xf>
    <xf numFmtId="43" fontId="21" fillId="40" borderId="10" xfId="42" applyFont="1" applyFill="1" applyBorder="1" applyAlignment="1">
      <alignment/>
    </xf>
    <xf numFmtId="37" fontId="21" fillId="4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/>
    </xf>
    <xf numFmtId="169" fontId="21" fillId="40" borderId="10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26" xfId="0" applyFont="1" applyBorder="1" applyAlignment="1">
      <alignment horizontal="left" wrapText="1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/>
    </xf>
    <xf numFmtId="3" fontId="21" fillId="0" borderId="27" xfId="0" applyNumberFormat="1" applyFont="1" applyFill="1" applyBorder="1" applyAlignment="1">
      <alignment/>
    </xf>
    <xf numFmtId="3" fontId="21" fillId="0" borderId="27" xfId="42" applyNumberFormat="1" applyFont="1" applyFill="1" applyBorder="1" applyAlignment="1">
      <alignment/>
    </xf>
    <xf numFmtId="3" fontId="21" fillId="0" borderId="27" xfId="42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4" fontId="21" fillId="0" borderId="27" xfId="42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1" fontId="27" fillId="0" borderId="0" xfId="0" applyNumberFormat="1" applyFont="1" applyFill="1" applyAlignment="1">
      <alignment/>
    </xf>
    <xf numFmtId="1" fontId="27" fillId="0" borderId="0" xfId="0" applyNumberFormat="1" applyFont="1" applyFill="1" applyBorder="1" applyAlignment="1">
      <alignment/>
    </xf>
    <xf numFmtId="37" fontId="21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40" borderId="27" xfId="0" applyFont="1" applyFill="1" applyBorder="1" applyAlignment="1">
      <alignment/>
    </xf>
    <xf numFmtId="0" fontId="21" fillId="38" borderId="27" xfId="0" applyFont="1" applyFill="1" applyBorder="1" applyAlignment="1">
      <alignment/>
    </xf>
    <xf numFmtId="0" fontId="21" fillId="38" borderId="27" xfId="0" applyFont="1" applyFill="1" applyBorder="1" applyAlignment="1">
      <alignment horizontal="center"/>
    </xf>
    <xf numFmtId="0" fontId="21" fillId="38" borderId="10" xfId="0" applyFont="1" applyFill="1" applyBorder="1" applyAlignment="1">
      <alignment/>
    </xf>
    <xf numFmtId="0" fontId="21" fillId="40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21" fillId="40" borderId="26" xfId="0" applyFont="1" applyFill="1" applyBorder="1" applyAlignment="1">
      <alignment horizontal="center"/>
    </xf>
    <xf numFmtId="0" fontId="21" fillId="38" borderId="26" xfId="0" applyFont="1" applyFill="1" applyBorder="1" applyAlignment="1">
      <alignment horizontal="center"/>
    </xf>
    <xf numFmtId="0" fontId="21" fillId="40" borderId="27" xfId="0" applyFont="1" applyFill="1" applyBorder="1" applyAlignment="1">
      <alignment horizontal="right" wrapText="1"/>
    </xf>
    <xf numFmtId="0" fontId="21" fillId="38" borderId="27" xfId="0" applyFont="1" applyFill="1" applyBorder="1" applyAlignment="1">
      <alignment horizontal="left" wrapText="1"/>
    </xf>
    <xf numFmtId="169" fontId="21" fillId="38" borderId="27" xfId="42" applyNumberFormat="1" applyFont="1" applyFill="1" applyBorder="1" applyAlignment="1">
      <alignment horizontal="right" wrapText="1"/>
    </xf>
    <xf numFmtId="169" fontId="21" fillId="38" borderId="27" xfId="42" applyNumberFormat="1" applyFont="1" applyFill="1" applyBorder="1" applyAlignment="1">
      <alignment horizontal="center"/>
    </xf>
    <xf numFmtId="0" fontId="21" fillId="38" borderId="27" xfId="0" applyFont="1" applyFill="1" applyBorder="1" applyAlignment="1">
      <alignment horizontal="center" wrapText="1"/>
    </xf>
    <xf numFmtId="49" fontId="21" fillId="38" borderId="27" xfId="0" applyNumberFormat="1" applyFont="1" applyFill="1" applyBorder="1" applyAlignment="1">
      <alignment horizontal="left" wrapText="1"/>
    </xf>
    <xf numFmtId="0" fontId="21" fillId="40" borderId="10" xfId="0" applyFont="1" applyFill="1" applyBorder="1" applyAlignment="1">
      <alignment horizontal="right" wrapText="1"/>
    </xf>
    <xf numFmtId="0" fontId="21" fillId="38" borderId="10" xfId="0" applyFont="1" applyFill="1" applyBorder="1" applyAlignment="1">
      <alignment horizontal="left" wrapText="1"/>
    </xf>
    <xf numFmtId="169" fontId="21" fillId="38" borderId="10" xfId="42" applyNumberFormat="1" applyFont="1" applyFill="1" applyBorder="1" applyAlignment="1">
      <alignment horizontal="right" wrapText="1"/>
    </xf>
    <xf numFmtId="169" fontId="21" fillId="38" borderId="10" xfId="42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 wrapText="1"/>
    </xf>
    <xf numFmtId="0" fontId="21" fillId="38" borderId="10" xfId="0" applyNumberFormat="1" applyFont="1" applyFill="1" applyBorder="1" applyAlignment="1">
      <alignment horizontal="center" wrapText="1"/>
    </xf>
    <xf numFmtId="49" fontId="21" fillId="38" borderId="10" xfId="0" applyNumberFormat="1" applyFont="1" applyFill="1" applyBorder="1" applyAlignment="1">
      <alignment horizontal="left" wrapText="1"/>
    </xf>
    <xf numFmtId="0" fontId="21" fillId="38" borderId="10" xfId="0" applyFont="1" applyFill="1" applyBorder="1" applyAlignment="1">
      <alignment wrapText="1"/>
    </xf>
    <xf numFmtId="49" fontId="21" fillId="38" borderId="10" xfId="0" applyNumberFormat="1" applyFont="1" applyFill="1" applyBorder="1" applyAlignment="1">
      <alignment wrapText="1"/>
    </xf>
    <xf numFmtId="0" fontId="21" fillId="40" borderId="26" xfId="0" applyFont="1" applyFill="1" applyBorder="1" applyAlignment="1">
      <alignment horizontal="right" wrapText="1"/>
    </xf>
    <xf numFmtId="0" fontId="21" fillId="38" borderId="26" xfId="0" applyFont="1" applyFill="1" applyBorder="1" applyAlignment="1">
      <alignment wrapText="1"/>
    </xf>
    <xf numFmtId="169" fontId="21" fillId="38" borderId="26" xfId="42" applyNumberFormat="1" applyFont="1" applyFill="1" applyBorder="1" applyAlignment="1">
      <alignment horizontal="right" wrapText="1"/>
    </xf>
    <xf numFmtId="169" fontId="21" fillId="38" borderId="26" xfId="42" applyNumberFormat="1" applyFont="1" applyFill="1" applyBorder="1" applyAlignment="1">
      <alignment horizontal="center"/>
    </xf>
    <xf numFmtId="0" fontId="21" fillId="38" borderId="26" xfId="0" applyFont="1" applyFill="1" applyBorder="1" applyAlignment="1">
      <alignment horizontal="center" wrapText="1"/>
    </xf>
    <xf numFmtId="0" fontId="21" fillId="38" borderId="26" xfId="0" applyNumberFormat="1" applyFont="1" applyFill="1" applyBorder="1" applyAlignment="1">
      <alignment horizontal="center" wrapText="1"/>
    </xf>
    <xf numFmtId="49" fontId="21" fillId="38" borderId="26" xfId="0" applyNumberFormat="1" applyFont="1" applyFill="1" applyBorder="1" applyAlignment="1">
      <alignment wrapText="1"/>
    </xf>
    <xf numFmtId="0" fontId="21" fillId="39" borderId="28" xfId="0" applyFont="1" applyFill="1" applyBorder="1" applyAlignment="1">
      <alignment/>
    </xf>
    <xf numFmtId="169" fontId="21" fillId="39" borderId="28" xfId="42" applyNumberFormat="1" applyFont="1" applyFill="1" applyBorder="1" applyAlignment="1">
      <alignment/>
    </xf>
    <xf numFmtId="17" fontId="21" fillId="39" borderId="28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indent="2"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" fontId="21" fillId="0" borderId="0" xfId="0" applyNumberFormat="1" applyFont="1" applyAlignment="1">
      <alignment/>
    </xf>
    <xf numFmtId="0" fontId="24" fillId="36" borderId="10" xfId="0" applyFont="1" applyFill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41" borderId="11" xfId="0" applyFont="1" applyFill="1" applyBorder="1" applyAlignment="1">
      <alignment horizontal="center" wrapText="1"/>
    </xf>
    <xf numFmtId="0" fontId="0" fillId="41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showGridLines="0" tabSelected="1" zoomScalePageLayoutView="0" workbookViewId="0" topLeftCell="A1">
      <selection activeCell="D9" sqref="D9"/>
    </sheetView>
  </sheetViews>
  <sheetFormatPr defaultColWidth="8.8515625" defaultRowHeight="12.75"/>
  <cols>
    <col min="1" max="1" width="26.7109375" style="70" customWidth="1"/>
    <col min="2" max="2" width="14.7109375" style="70" customWidth="1"/>
    <col min="3" max="3" width="12.421875" style="70" bestFit="1" customWidth="1"/>
    <col min="4" max="4" width="14.421875" style="70" bestFit="1" customWidth="1"/>
    <col min="5" max="5" width="13.7109375" style="70" bestFit="1" customWidth="1"/>
    <col min="6" max="6" width="15.28125" style="70" customWidth="1"/>
    <col min="7" max="13" width="13.7109375" style="70" bestFit="1" customWidth="1"/>
    <col min="14" max="14" width="15.421875" style="70" bestFit="1" customWidth="1"/>
    <col min="15" max="15" width="10.140625" style="70" bestFit="1" customWidth="1"/>
    <col min="16" max="16384" width="8.8515625" style="70" customWidth="1"/>
  </cols>
  <sheetData>
    <row r="1" spans="6:8" ht="16.5" customHeight="1">
      <c r="F1" s="171" t="s">
        <v>55</v>
      </c>
      <c r="G1" s="172"/>
      <c r="H1" s="172"/>
    </row>
    <row r="2" spans="1:14" ht="15.75">
      <c r="A2" s="71" t="s">
        <v>56</v>
      </c>
      <c r="B2" s="71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.75">
      <c r="A3" s="71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2.25" customHeigh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26" ht="6.75" customHeight="1">
      <c r="A5" s="84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1.25">
      <c r="A6" s="85"/>
      <c r="B6" s="86">
        <v>38961</v>
      </c>
      <c r="C6" s="86">
        <v>38991</v>
      </c>
      <c r="D6" s="86">
        <v>39022</v>
      </c>
      <c r="E6" s="86">
        <v>39052</v>
      </c>
      <c r="F6" s="86">
        <v>39083</v>
      </c>
      <c r="G6" s="86">
        <v>39114</v>
      </c>
      <c r="H6" s="86">
        <v>39142</v>
      </c>
      <c r="I6" s="86">
        <v>39173</v>
      </c>
      <c r="J6" s="86">
        <v>39203</v>
      </c>
      <c r="K6" s="86">
        <v>39234</v>
      </c>
      <c r="L6" s="86">
        <v>39264</v>
      </c>
      <c r="M6" s="86">
        <v>39295</v>
      </c>
      <c r="N6" s="87" t="s">
        <v>58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1.25">
      <c r="A7" s="88" t="s">
        <v>59</v>
      </c>
      <c r="B7" s="89">
        <v>94247.09</v>
      </c>
      <c r="C7" s="89">
        <v>99010.67</v>
      </c>
      <c r="D7" s="89">
        <v>104309.09</v>
      </c>
      <c r="E7" s="89">
        <v>106161.6</v>
      </c>
      <c r="F7" s="89">
        <v>106331.57</v>
      </c>
      <c r="G7" s="89">
        <v>109771.02</v>
      </c>
      <c r="H7" s="89">
        <v>115093.28</v>
      </c>
      <c r="I7" s="89">
        <v>118672.74</v>
      </c>
      <c r="J7" s="89">
        <v>121857.54</v>
      </c>
      <c r="K7" s="89">
        <v>125420.12</v>
      </c>
      <c r="L7" s="89">
        <v>131080.89</v>
      </c>
      <c r="M7" s="89">
        <v>133502.18</v>
      </c>
      <c r="N7" s="90">
        <f>SUM(B7:M7)</f>
        <v>1365457.7899999998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s="73" customFormat="1" ht="11.25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s="73" customFormat="1" ht="22.5">
      <c r="A9" s="95" t="s">
        <v>60</v>
      </c>
      <c r="B9" s="92">
        <f>(4.5*20000*0.52)+(4.25*4665*0.52)</f>
        <v>57109.65</v>
      </c>
      <c r="C9" s="92"/>
      <c r="D9" s="92"/>
      <c r="E9" s="92">
        <f>25000*2.75*0.52</f>
        <v>35750</v>
      </c>
      <c r="F9" s="92">
        <f>(25000*4.75*0.52)+(4156.25*0.52)</f>
        <v>63911.25</v>
      </c>
      <c r="G9" s="92"/>
      <c r="H9" s="92">
        <f>25000*4.75*0.52</f>
        <v>61750</v>
      </c>
      <c r="I9" s="92"/>
      <c r="J9" s="92"/>
      <c r="K9" s="92">
        <f>50000*4.75*0.52</f>
        <v>123500</v>
      </c>
      <c r="L9" s="92"/>
      <c r="M9" s="92"/>
      <c r="N9" s="90">
        <f>SUM(B9:M9)</f>
        <v>342020.9</v>
      </c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s="73" customFormat="1" ht="11.2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s="73" customFormat="1" ht="23.25" customHeight="1">
      <c r="A11" s="170" t="s">
        <v>143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s="73" customFormat="1" ht="12">
      <c r="A12" s="97" t="s">
        <v>61</v>
      </c>
      <c r="B12" s="96">
        <v>3226.33</v>
      </c>
      <c r="C12" s="96">
        <v>6653.71</v>
      </c>
      <c r="D12" s="96">
        <v>46538.74</v>
      </c>
      <c r="E12" s="96">
        <v>4281.71</v>
      </c>
      <c r="F12" s="96">
        <v>5141.25</v>
      </c>
      <c r="G12" s="96">
        <v>4061.76</v>
      </c>
      <c r="H12" s="96">
        <v>9147.98</v>
      </c>
      <c r="I12" s="96">
        <v>-1704.68</v>
      </c>
      <c r="J12" s="96">
        <v>33867.15</v>
      </c>
      <c r="K12" s="96">
        <v>26543.37</v>
      </c>
      <c r="L12" s="96">
        <v>18203.67</v>
      </c>
      <c r="M12" s="96">
        <v>1380.26</v>
      </c>
      <c r="N12" s="98">
        <f aca="true" t="shared" si="0" ref="N12:N17">+SUM(B12:M12)</f>
        <v>157341.25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s="73" customFormat="1" ht="12">
      <c r="A13" s="97" t="s">
        <v>62</v>
      </c>
      <c r="B13" s="96">
        <v>10000</v>
      </c>
      <c r="C13" s="96"/>
      <c r="D13" s="96"/>
      <c r="E13" s="96"/>
      <c r="F13" s="96"/>
      <c r="G13" s="96"/>
      <c r="H13" s="96">
        <v>10837.25</v>
      </c>
      <c r="I13" s="96">
        <v>10000</v>
      </c>
      <c r="J13" s="96"/>
      <c r="K13" s="96"/>
      <c r="L13" s="96">
        <v>10000</v>
      </c>
      <c r="M13" s="96"/>
      <c r="N13" s="98">
        <f t="shared" si="0"/>
        <v>40837.25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s="73" customFormat="1" ht="12">
      <c r="A14" s="97" t="s">
        <v>63</v>
      </c>
      <c r="B14" s="96">
        <v>125.41</v>
      </c>
      <c r="C14" s="96">
        <v>105.41</v>
      </c>
      <c r="D14" s="96">
        <v>1592.63</v>
      </c>
      <c r="E14" s="96">
        <v>118.6</v>
      </c>
      <c r="F14" s="96"/>
      <c r="G14" s="96">
        <v>132.8</v>
      </c>
      <c r="H14" s="96"/>
      <c r="I14" s="96">
        <v>359.48</v>
      </c>
      <c r="J14" s="96"/>
      <c r="K14" s="96">
        <v>132.8</v>
      </c>
      <c r="L14" s="96">
        <v>479.3</v>
      </c>
      <c r="M14" s="96">
        <v>494.3</v>
      </c>
      <c r="N14" s="98">
        <f t="shared" si="0"/>
        <v>3540.7300000000005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s="73" customFormat="1" ht="12">
      <c r="A15" s="97" t="s">
        <v>64</v>
      </c>
      <c r="B15" s="96">
        <f>5170.9+219.38</f>
        <v>5390.28</v>
      </c>
      <c r="C15" s="96">
        <v>6543.13</v>
      </c>
      <c r="D15" s="96">
        <f>2711.01+118.54</f>
        <v>2829.55</v>
      </c>
      <c r="E15" s="96">
        <f>4469.02+47.5</f>
        <v>4516.52</v>
      </c>
      <c r="F15" s="96">
        <f>137.11+5.99</f>
        <v>143.10000000000002</v>
      </c>
      <c r="G15" s="96">
        <f>485.16+21.21</f>
        <v>506.37</v>
      </c>
      <c r="H15" s="96">
        <f>4307.86+188.36</f>
        <v>4496.219999999999</v>
      </c>
      <c r="I15" s="96">
        <f>4645.84+203.13</f>
        <v>4848.97</v>
      </c>
      <c r="J15" s="96">
        <f>4045.41+138.44</f>
        <v>4183.849999999999</v>
      </c>
      <c r="K15" s="96">
        <f>4349.32+35.8</f>
        <v>4385.12</v>
      </c>
      <c r="L15" s="96">
        <f>4645.26+170.1</f>
        <v>4815.360000000001</v>
      </c>
      <c r="M15" s="96">
        <f>4688.99+172.11</f>
        <v>4861.099999999999</v>
      </c>
      <c r="N15" s="98">
        <f t="shared" si="0"/>
        <v>47519.57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s="73" customFormat="1" ht="12">
      <c r="A16" s="97" t="s">
        <v>65</v>
      </c>
      <c r="B16" s="96"/>
      <c r="C16" s="96">
        <v>1678.5</v>
      </c>
      <c r="D16" s="96">
        <f>-517.68+101.25</f>
        <v>-416.42999999999995</v>
      </c>
      <c r="E16" s="96"/>
      <c r="F16" s="96"/>
      <c r="G16" s="96"/>
      <c r="H16" s="96"/>
      <c r="I16" s="96"/>
      <c r="J16" s="96"/>
      <c r="K16" s="96"/>
      <c r="L16" s="96"/>
      <c r="M16" s="96"/>
      <c r="N16" s="98">
        <f t="shared" si="0"/>
        <v>1262.0700000000002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s="73" customFormat="1" ht="12">
      <c r="A17" s="97" t="s">
        <v>66</v>
      </c>
      <c r="B17" s="96">
        <f>0.61*B24</f>
        <v>23766.21</v>
      </c>
      <c r="C17" s="96">
        <f aca="true" t="shared" si="1" ref="C17:M17">0.61*C24</f>
        <v>23784.51</v>
      </c>
      <c r="D17" s="96">
        <f t="shared" si="1"/>
        <v>23803.42</v>
      </c>
      <c r="E17" s="96">
        <f t="shared" si="1"/>
        <v>23821.72</v>
      </c>
      <c r="F17" s="96">
        <f t="shared" si="1"/>
        <v>23840.63</v>
      </c>
      <c r="G17" s="96">
        <f t="shared" si="1"/>
        <v>23859.54</v>
      </c>
      <c r="H17" s="96">
        <f t="shared" si="1"/>
        <v>23876.62</v>
      </c>
      <c r="I17" s="96">
        <f t="shared" si="1"/>
        <v>23895.53</v>
      </c>
      <c r="J17" s="96">
        <f t="shared" si="1"/>
        <v>23913.829999999998</v>
      </c>
      <c r="K17" s="96">
        <f t="shared" si="1"/>
        <v>23932.739999999998</v>
      </c>
      <c r="L17" s="96">
        <f t="shared" si="1"/>
        <v>23951.04</v>
      </c>
      <c r="M17" s="96">
        <f t="shared" si="1"/>
        <v>23969.95</v>
      </c>
      <c r="N17" s="98">
        <f t="shared" si="0"/>
        <v>286415.74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s="73" customFormat="1" ht="12">
      <c r="A18" s="99" t="s">
        <v>67</v>
      </c>
      <c r="B18" s="96">
        <f aca="true" t="shared" si="2" ref="B18:N18">+SUM(B12:B17)</f>
        <v>42508.229999999996</v>
      </c>
      <c r="C18" s="96">
        <f t="shared" si="2"/>
        <v>38765.259999999995</v>
      </c>
      <c r="D18" s="96">
        <f t="shared" si="2"/>
        <v>74347.91</v>
      </c>
      <c r="E18" s="96">
        <f t="shared" si="2"/>
        <v>32738.550000000003</v>
      </c>
      <c r="F18" s="96">
        <f t="shared" si="2"/>
        <v>29124.980000000003</v>
      </c>
      <c r="G18" s="96">
        <f t="shared" si="2"/>
        <v>28560.47</v>
      </c>
      <c r="H18" s="96">
        <f t="shared" si="2"/>
        <v>48358.06999999999</v>
      </c>
      <c r="I18" s="96">
        <f t="shared" si="2"/>
        <v>37399.3</v>
      </c>
      <c r="J18" s="96">
        <f t="shared" si="2"/>
        <v>61964.83</v>
      </c>
      <c r="K18" s="96">
        <f t="shared" si="2"/>
        <v>54994.03</v>
      </c>
      <c r="L18" s="96">
        <f t="shared" si="2"/>
        <v>57449.37</v>
      </c>
      <c r="M18" s="96">
        <f t="shared" si="2"/>
        <v>30705.61</v>
      </c>
      <c r="N18" s="98">
        <f t="shared" si="2"/>
        <v>536916.61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s="73" customFormat="1" ht="11.2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s="73" customFormat="1" ht="11.25">
      <c r="A20" s="100" t="s">
        <v>68</v>
      </c>
      <c r="B20" s="92">
        <f>B7-B9-B18</f>
        <v>-5370.790000000001</v>
      </c>
      <c r="C20" s="92">
        <f aca="true" t="shared" si="3" ref="C20:M20">C7-C9-C18</f>
        <v>60245.41</v>
      </c>
      <c r="D20" s="92">
        <f t="shared" si="3"/>
        <v>29961.179999999993</v>
      </c>
      <c r="E20" s="92">
        <f t="shared" si="3"/>
        <v>37673.05</v>
      </c>
      <c r="F20" s="92">
        <f t="shared" si="3"/>
        <v>13295.340000000004</v>
      </c>
      <c r="G20" s="92">
        <f t="shared" si="3"/>
        <v>81210.55</v>
      </c>
      <c r="H20" s="92">
        <f t="shared" si="3"/>
        <v>4985.210000000006</v>
      </c>
      <c r="I20" s="92">
        <f t="shared" si="3"/>
        <v>81273.44</v>
      </c>
      <c r="J20" s="92">
        <f t="shared" si="3"/>
        <v>59892.70999999999</v>
      </c>
      <c r="K20" s="92">
        <f t="shared" si="3"/>
        <v>-53073.91</v>
      </c>
      <c r="L20" s="92">
        <f t="shared" si="3"/>
        <v>73631.52000000002</v>
      </c>
      <c r="M20" s="92">
        <f t="shared" si="3"/>
        <v>102796.56999999999</v>
      </c>
      <c r="N20" s="93">
        <f>N7-N9-N18</f>
        <v>486520.2799999998</v>
      </c>
      <c r="O20" s="101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s="73" customFormat="1" ht="11.25">
      <c r="A21" s="102" t="s">
        <v>69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93">
        <f>SUM(B21:M21)</f>
        <v>0</v>
      </c>
      <c r="O21" s="101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s="73" customFormat="1" ht="12" thickBot="1">
      <c r="A22" s="88" t="s">
        <v>70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>
        <f>SUM(M20:M21)</f>
        <v>102796.56999999999</v>
      </c>
      <c r="N22" s="105">
        <f>SUM(N20:N21)</f>
        <v>486520.2799999998</v>
      </c>
      <c r="O22" s="101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s="73" customFormat="1" ht="12" thickTop="1">
      <c r="A23" s="94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1.25">
      <c r="A24" s="85"/>
      <c r="B24" s="86">
        <v>38961</v>
      </c>
      <c r="C24" s="86">
        <v>38991</v>
      </c>
      <c r="D24" s="86">
        <v>39022</v>
      </c>
      <c r="E24" s="86">
        <v>39052</v>
      </c>
      <c r="F24" s="86">
        <v>39083</v>
      </c>
      <c r="G24" s="86">
        <v>39114</v>
      </c>
      <c r="H24" s="86">
        <v>39142</v>
      </c>
      <c r="I24" s="86">
        <v>39173</v>
      </c>
      <c r="J24" s="86">
        <v>39203</v>
      </c>
      <c r="K24" s="86">
        <v>39234</v>
      </c>
      <c r="L24" s="86">
        <v>39264</v>
      </c>
      <c r="M24" s="86">
        <v>39295</v>
      </c>
      <c r="N24" s="87" t="s">
        <v>58</v>
      </c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22.5">
      <c r="A25" s="108" t="s">
        <v>71</v>
      </c>
      <c r="B25" s="109">
        <v>56470</v>
      </c>
      <c r="C25" s="110">
        <v>59735</v>
      </c>
      <c r="D25" s="110">
        <v>61669</v>
      </c>
      <c r="E25" s="110">
        <v>62527</v>
      </c>
      <c r="F25" s="110">
        <v>63199</v>
      </c>
      <c r="G25" s="110">
        <v>65915</v>
      </c>
      <c r="H25" s="110">
        <v>68457</v>
      </c>
      <c r="I25" s="110">
        <v>70664</v>
      </c>
      <c r="J25" s="110">
        <v>71986</v>
      </c>
      <c r="K25" s="110">
        <v>78773</v>
      </c>
      <c r="L25" s="110">
        <v>79613</v>
      </c>
      <c r="M25" s="110">
        <v>83247</v>
      </c>
      <c r="N25" s="111">
        <f>SUM(B25:M25)</f>
        <v>822255</v>
      </c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1.25">
      <c r="A26" s="112" t="s">
        <v>72</v>
      </c>
      <c r="B26" s="113">
        <f>B25*100</f>
        <v>5647000</v>
      </c>
      <c r="C26" s="113">
        <f aca="true" t="shared" si="4" ref="C26:M26">C25*100</f>
        <v>5973500</v>
      </c>
      <c r="D26" s="113">
        <f t="shared" si="4"/>
        <v>6166900</v>
      </c>
      <c r="E26" s="113">
        <f t="shared" si="4"/>
        <v>6252700</v>
      </c>
      <c r="F26" s="113">
        <f t="shared" si="4"/>
        <v>6319900</v>
      </c>
      <c r="G26" s="113">
        <f t="shared" si="4"/>
        <v>6591500</v>
      </c>
      <c r="H26" s="113">
        <f t="shared" si="4"/>
        <v>6845700</v>
      </c>
      <c r="I26" s="113">
        <f t="shared" si="4"/>
        <v>7066400</v>
      </c>
      <c r="J26" s="113">
        <f t="shared" si="4"/>
        <v>7198600</v>
      </c>
      <c r="K26" s="113">
        <f t="shared" si="4"/>
        <v>7877300</v>
      </c>
      <c r="L26" s="113">
        <f t="shared" si="4"/>
        <v>7961300</v>
      </c>
      <c r="M26" s="113">
        <f t="shared" si="4"/>
        <v>8324700</v>
      </c>
      <c r="N26" s="113">
        <f>N25*100</f>
        <v>82225500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1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1.25">
      <c r="A28" s="114"/>
      <c r="B28" s="114"/>
      <c r="C28" s="114"/>
      <c r="D28" s="114"/>
      <c r="E28" s="114"/>
      <c r="F28" s="114"/>
      <c r="G28" s="114"/>
      <c r="H28" s="114"/>
      <c r="I28" s="79"/>
      <c r="J28" s="79"/>
      <c r="K28" s="79"/>
      <c r="L28" s="79"/>
      <c r="M28" s="78"/>
      <c r="N28" s="78"/>
      <c r="O28" s="78"/>
      <c r="P28" s="78"/>
      <c r="Q28" s="78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1.25">
      <c r="A29" s="115"/>
      <c r="B29" s="116"/>
      <c r="C29" s="116" t="s">
        <v>73</v>
      </c>
      <c r="D29" s="116" t="s">
        <v>74</v>
      </c>
      <c r="E29" s="116" t="s">
        <v>75</v>
      </c>
      <c r="F29" s="116" t="s">
        <v>76</v>
      </c>
      <c r="G29" s="116" t="s">
        <v>77</v>
      </c>
      <c r="H29" s="116"/>
      <c r="I29" s="79"/>
      <c r="J29" s="79"/>
      <c r="K29" s="79"/>
      <c r="L29" s="79"/>
      <c r="M29" s="78"/>
      <c r="N29" s="78"/>
      <c r="O29" s="78"/>
      <c r="P29" s="78"/>
      <c r="Q29" s="78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0.5" customHeight="1">
      <c r="A30" s="115"/>
      <c r="B30" s="116"/>
      <c r="C30" s="116" t="s">
        <v>78</v>
      </c>
      <c r="D30" s="116" t="s">
        <v>78</v>
      </c>
      <c r="E30" s="116" t="s">
        <v>79</v>
      </c>
      <c r="F30" s="116" t="s">
        <v>80</v>
      </c>
      <c r="G30" s="116" t="s">
        <v>80</v>
      </c>
      <c r="H30" s="116" t="s">
        <v>75</v>
      </c>
      <c r="I30" s="79"/>
      <c r="J30" s="79"/>
      <c r="K30" s="79"/>
      <c r="L30" s="79"/>
      <c r="M30" s="78"/>
      <c r="N30" s="78"/>
      <c r="O30" s="78"/>
      <c r="P30" s="78"/>
      <c r="Q30" s="78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0.5" customHeight="1" thickBot="1">
      <c r="A31" s="117" t="s">
        <v>81</v>
      </c>
      <c r="B31" s="118" t="s">
        <v>82</v>
      </c>
      <c r="C31" s="118" t="s">
        <v>83</v>
      </c>
      <c r="D31" s="118" t="s">
        <v>83</v>
      </c>
      <c r="E31" s="118" t="s">
        <v>84</v>
      </c>
      <c r="F31" s="118" t="s">
        <v>85</v>
      </c>
      <c r="G31" s="118" t="s">
        <v>85</v>
      </c>
      <c r="H31" s="118" t="s">
        <v>85</v>
      </c>
      <c r="I31" s="79"/>
      <c r="J31" s="79"/>
      <c r="K31" s="79"/>
      <c r="L31" s="79"/>
      <c r="M31" s="78"/>
      <c r="N31" s="78"/>
      <c r="O31" s="78"/>
      <c r="P31" s="78"/>
      <c r="Q31" s="78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1.25">
      <c r="A32" s="119" t="s">
        <v>86</v>
      </c>
      <c r="B32" s="119">
        <v>100</v>
      </c>
      <c r="C32" s="120">
        <v>562577</v>
      </c>
      <c r="D32" s="120">
        <v>259678</v>
      </c>
      <c r="E32" s="121">
        <f>C32+D32</f>
        <v>822255</v>
      </c>
      <c r="F32" s="122">
        <f>(E32*100)/1000</f>
        <v>82225.5</v>
      </c>
      <c r="G32" s="123"/>
      <c r="H32" s="124">
        <v>82225.5</v>
      </c>
      <c r="I32" s="79"/>
      <c r="J32" s="79"/>
      <c r="K32" s="79"/>
      <c r="L32" s="79"/>
      <c r="M32" s="78"/>
      <c r="N32" s="78"/>
      <c r="O32" s="78"/>
      <c r="P32" s="78"/>
      <c r="Q32" s="78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1.25">
      <c r="A33" s="85"/>
      <c r="B33" s="85"/>
      <c r="C33" s="125"/>
      <c r="D33" s="125"/>
      <c r="E33" s="125"/>
      <c r="F33" s="125"/>
      <c r="G33" s="125"/>
      <c r="H33" s="125"/>
      <c r="I33" s="79"/>
      <c r="J33" s="79"/>
      <c r="K33" s="79"/>
      <c r="L33" s="79"/>
      <c r="M33" s="78"/>
      <c r="N33" s="78"/>
      <c r="O33" s="78"/>
      <c r="P33" s="78"/>
      <c r="Q33" s="78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6.7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126"/>
      <c r="M34" s="127"/>
      <c r="N34" s="128"/>
      <c r="O34" s="78"/>
      <c r="P34" s="78"/>
      <c r="Q34" s="78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2" thickBot="1">
      <c r="A35" s="7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6"/>
      <c r="M35" s="127"/>
      <c r="N35" s="128"/>
      <c r="O35" s="128"/>
      <c r="P35" s="78"/>
      <c r="Q35" s="78"/>
      <c r="R35" s="79"/>
      <c r="S35" s="79"/>
      <c r="T35" s="79"/>
      <c r="U35" s="79"/>
      <c r="V35" s="79"/>
      <c r="W35" s="79"/>
      <c r="X35" s="79"/>
      <c r="Y35" s="79"/>
      <c r="Z35" s="79"/>
    </row>
    <row r="36" spans="1:17" s="79" customFormat="1" ht="14.25">
      <c r="A36" s="75" t="s">
        <v>87</v>
      </c>
      <c r="B36" s="76"/>
      <c r="C36" s="76"/>
      <c r="D36" s="76"/>
      <c r="E36" s="76"/>
      <c r="F36" s="77"/>
      <c r="J36" s="130"/>
      <c r="M36" s="78"/>
      <c r="N36" s="78"/>
      <c r="O36" s="78"/>
      <c r="P36" s="78"/>
      <c r="Q36" s="78"/>
    </row>
    <row r="37" spans="1:17" s="79" customFormat="1" ht="15" thickBot="1">
      <c r="A37" s="80" t="s">
        <v>88</v>
      </c>
      <c r="B37" s="81"/>
      <c r="C37" s="81"/>
      <c r="D37" s="81"/>
      <c r="E37" s="81"/>
      <c r="F37" s="82"/>
      <c r="J37" s="130"/>
      <c r="M37" s="78"/>
      <c r="N37" s="78"/>
      <c r="O37" s="78"/>
      <c r="P37" s="78"/>
      <c r="Q37" s="78"/>
    </row>
    <row r="38" spans="1:17" s="79" customFormat="1" ht="11.25">
      <c r="A38" s="131"/>
      <c r="B38" s="132"/>
      <c r="C38" s="132"/>
      <c r="D38" s="132"/>
      <c r="E38" s="133"/>
      <c r="F38" s="132"/>
      <c r="G38" s="134"/>
      <c r="H38" s="134"/>
      <c r="I38" s="134"/>
      <c r="J38" s="130"/>
      <c r="M38" s="78"/>
      <c r="N38" s="78"/>
      <c r="O38" s="78"/>
      <c r="P38" s="78"/>
      <c r="Q38" s="78"/>
    </row>
    <row r="39" spans="1:17" s="79" customFormat="1" ht="11.25">
      <c r="A39" s="135" t="s">
        <v>89</v>
      </c>
      <c r="B39" s="136"/>
      <c r="C39" s="136" t="s">
        <v>90</v>
      </c>
      <c r="D39" s="136"/>
      <c r="E39" s="136" t="s">
        <v>91</v>
      </c>
      <c r="F39" s="136"/>
      <c r="G39" s="136"/>
      <c r="H39" s="136" t="s">
        <v>92</v>
      </c>
      <c r="I39" s="134"/>
      <c r="J39" s="130"/>
      <c r="M39" s="78"/>
      <c r="N39" s="78"/>
      <c r="O39" s="78"/>
      <c r="P39" s="78"/>
      <c r="Q39" s="78"/>
    </row>
    <row r="40" spans="1:17" s="79" customFormat="1" ht="11.25">
      <c r="A40" s="135" t="s">
        <v>93</v>
      </c>
      <c r="B40" s="136" t="s">
        <v>89</v>
      </c>
      <c r="C40" s="136" t="s">
        <v>94</v>
      </c>
      <c r="D40" s="136" t="s">
        <v>95</v>
      </c>
      <c r="E40" s="136" t="s">
        <v>96</v>
      </c>
      <c r="F40" s="136" t="s">
        <v>97</v>
      </c>
      <c r="G40" s="136" t="s">
        <v>98</v>
      </c>
      <c r="H40" s="136" t="s">
        <v>99</v>
      </c>
      <c r="I40" s="136" t="s">
        <v>100</v>
      </c>
      <c r="J40" s="130"/>
      <c r="M40" s="78"/>
      <c r="N40" s="78"/>
      <c r="O40" s="78"/>
      <c r="P40" s="78"/>
      <c r="Q40" s="78"/>
    </row>
    <row r="41" spans="1:10" s="79" customFormat="1" ht="11.25">
      <c r="A41" s="135" t="s">
        <v>101</v>
      </c>
      <c r="B41" s="136" t="s">
        <v>102</v>
      </c>
      <c r="C41" s="136" t="s">
        <v>103</v>
      </c>
      <c r="D41" s="136" t="s">
        <v>104</v>
      </c>
      <c r="E41" s="136" t="s">
        <v>105</v>
      </c>
      <c r="F41" s="136" t="s">
        <v>106</v>
      </c>
      <c r="G41" s="136" t="s">
        <v>107</v>
      </c>
      <c r="H41" s="136" t="s">
        <v>98</v>
      </c>
      <c r="I41" s="136" t="s">
        <v>97</v>
      </c>
      <c r="J41" s="130"/>
    </row>
    <row r="42" spans="1:10" s="79" customFormat="1" ht="12" thickBot="1">
      <c r="A42" s="137" t="s">
        <v>108</v>
      </c>
      <c r="B42" s="138" t="s">
        <v>109</v>
      </c>
      <c r="C42" s="138" t="s">
        <v>107</v>
      </c>
      <c r="D42" s="138" t="s">
        <v>110</v>
      </c>
      <c r="E42" s="138" t="s">
        <v>111</v>
      </c>
      <c r="F42" s="138" t="s">
        <v>112</v>
      </c>
      <c r="G42" s="138" t="s">
        <v>113</v>
      </c>
      <c r="H42" s="138" t="s">
        <v>113</v>
      </c>
      <c r="I42" s="138" t="s">
        <v>114</v>
      </c>
      <c r="J42" s="130"/>
    </row>
    <row r="43" spans="1:10" s="79" customFormat="1" ht="22.5">
      <c r="A43" s="139" t="s">
        <v>115</v>
      </c>
      <c r="B43" s="140" t="s">
        <v>116</v>
      </c>
      <c r="C43" s="141">
        <v>10000</v>
      </c>
      <c r="D43" s="133">
        <v>0</v>
      </c>
      <c r="E43" s="142">
        <f aca="true" t="shared" si="5" ref="E43:E48">C43*0.52</f>
        <v>5200</v>
      </c>
      <c r="F43" s="143" t="s">
        <v>117</v>
      </c>
      <c r="G43" s="143" t="s">
        <v>118</v>
      </c>
      <c r="H43" s="144" t="s">
        <v>119</v>
      </c>
      <c r="I43" s="143" t="s">
        <v>120</v>
      </c>
      <c r="J43" s="130"/>
    </row>
    <row r="44" spans="1:10" s="79" customFormat="1" ht="22.5">
      <c r="A44" s="145" t="s">
        <v>115</v>
      </c>
      <c r="B44" s="146" t="s">
        <v>116</v>
      </c>
      <c r="C44" s="147">
        <v>21500</v>
      </c>
      <c r="D44" s="136">
        <v>0</v>
      </c>
      <c r="E44" s="148">
        <f t="shared" si="5"/>
        <v>11180</v>
      </c>
      <c r="F44" s="149" t="s">
        <v>117</v>
      </c>
      <c r="G44" s="150" t="s">
        <v>121</v>
      </c>
      <c r="H44" s="151" t="s">
        <v>119</v>
      </c>
      <c r="I44" s="149" t="s">
        <v>122</v>
      </c>
      <c r="J44" s="130"/>
    </row>
    <row r="45" spans="1:10" s="79" customFormat="1" ht="22.5">
      <c r="A45" s="145" t="s">
        <v>123</v>
      </c>
      <c r="B45" s="152" t="s">
        <v>124</v>
      </c>
      <c r="C45" s="147">
        <v>25000</v>
      </c>
      <c r="D45" s="136">
        <v>0</v>
      </c>
      <c r="E45" s="148">
        <f t="shared" si="5"/>
        <v>13000</v>
      </c>
      <c r="F45" s="149" t="s">
        <v>117</v>
      </c>
      <c r="G45" s="150" t="s">
        <v>125</v>
      </c>
      <c r="H45" s="151" t="s">
        <v>119</v>
      </c>
      <c r="I45" s="149" t="s">
        <v>122</v>
      </c>
      <c r="J45" s="130"/>
    </row>
    <row r="46" spans="1:10" s="79" customFormat="1" ht="22.5">
      <c r="A46" s="145" t="s">
        <v>126</v>
      </c>
      <c r="B46" s="152" t="s">
        <v>127</v>
      </c>
      <c r="C46" s="147">
        <v>25000</v>
      </c>
      <c r="D46" s="136">
        <v>0</v>
      </c>
      <c r="E46" s="148">
        <f t="shared" si="5"/>
        <v>13000</v>
      </c>
      <c r="F46" s="149" t="s">
        <v>117</v>
      </c>
      <c r="G46" s="150" t="s">
        <v>128</v>
      </c>
      <c r="H46" s="153" t="s">
        <v>129</v>
      </c>
      <c r="I46" s="149" t="s">
        <v>122</v>
      </c>
      <c r="J46" s="130"/>
    </row>
    <row r="47" spans="1:10" s="79" customFormat="1" ht="22.5">
      <c r="A47" s="145" t="s">
        <v>130</v>
      </c>
      <c r="B47" s="152" t="s">
        <v>131</v>
      </c>
      <c r="C47" s="147">
        <v>25000</v>
      </c>
      <c r="D47" s="136">
        <v>0</v>
      </c>
      <c r="E47" s="148">
        <f t="shared" si="5"/>
        <v>13000</v>
      </c>
      <c r="F47" s="149" t="s">
        <v>117</v>
      </c>
      <c r="G47" s="150" t="s">
        <v>132</v>
      </c>
      <c r="H47" s="153" t="s">
        <v>133</v>
      </c>
      <c r="I47" s="149" t="s">
        <v>122</v>
      </c>
      <c r="J47" s="130"/>
    </row>
    <row r="48" spans="1:10" s="79" customFormat="1" ht="23.25" thickBot="1">
      <c r="A48" s="154" t="s">
        <v>134</v>
      </c>
      <c r="B48" s="155" t="s">
        <v>135</v>
      </c>
      <c r="C48" s="156">
        <v>50000</v>
      </c>
      <c r="D48" s="138">
        <v>0</v>
      </c>
      <c r="E48" s="157">
        <f t="shared" si="5"/>
        <v>26000</v>
      </c>
      <c r="F48" s="158" t="s">
        <v>117</v>
      </c>
      <c r="G48" s="159" t="s">
        <v>136</v>
      </c>
      <c r="H48" s="160" t="s">
        <v>137</v>
      </c>
      <c r="I48" s="158" t="s">
        <v>122</v>
      </c>
      <c r="J48" s="130"/>
    </row>
    <row r="49" spans="1:10" s="79" customFormat="1" ht="12" thickBot="1">
      <c r="A49" s="161" t="s">
        <v>138</v>
      </c>
      <c r="B49" s="161"/>
      <c r="C49" s="162"/>
      <c r="D49" s="162"/>
      <c r="E49" s="162">
        <f>SUM(E43:E48)</f>
        <v>81380</v>
      </c>
      <c r="F49" s="162"/>
      <c r="G49" s="163"/>
      <c r="H49" s="163"/>
      <c r="I49" s="161"/>
      <c r="J49" s="130"/>
    </row>
    <row r="50" spans="1:26" s="83" customFormat="1" ht="9" customHeight="1" thickTop="1">
      <c r="A50" s="164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165"/>
      <c r="R50" s="165"/>
      <c r="S50" s="165"/>
      <c r="T50" s="165"/>
      <c r="U50" s="165"/>
      <c r="V50" s="165"/>
      <c r="W50" s="165"/>
      <c r="X50" s="165"/>
      <c r="Y50" s="165"/>
      <c r="Z50" s="165"/>
    </row>
    <row r="51" spans="1:26" s="74" customFormat="1" ht="1.5" customHeight="1">
      <c r="A51" s="166"/>
      <c r="B51" s="166"/>
      <c r="C51" s="166"/>
      <c r="D51" s="166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s="74" customFormat="1" ht="12">
      <c r="A52" s="167" t="s">
        <v>139</v>
      </c>
      <c r="B52" s="168"/>
      <c r="C52" s="168"/>
      <c r="D52" s="166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s="74" customFormat="1" ht="12">
      <c r="A53" s="78" t="s">
        <v>140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ht="12">
      <c r="A54" s="169" t="s">
        <v>141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2">
      <c r="A55" s="79" t="s">
        <v>142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2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2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2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2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2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</sheetData>
  <sheetProtection/>
  <mergeCells count="1">
    <mergeCell ref="F1:H1"/>
  </mergeCells>
  <printOptions horizontalCentered="1" verticalCentered="1"/>
  <pageMargins left="0.25" right="0.25" top="1" bottom="1" header="0.5" footer="0.5"/>
  <pageSetup horizontalDpi="600" verticalDpi="600" orientation="landscape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47" sqref="N47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showGridLines="0" zoomScalePageLayoutView="0" workbookViewId="0" topLeftCell="A1">
      <selection activeCell="A54" sqref="A54"/>
    </sheetView>
  </sheetViews>
  <sheetFormatPr defaultColWidth="8.8515625" defaultRowHeight="12.75"/>
  <cols>
    <col min="1" max="1" width="77.00390625" style="1" customWidth="1"/>
    <col min="2" max="2" width="15.140625" style="7" customWidth="1"/>
    <col min="3" max="3" width="22.00390625" style="1" customWidth="1"/>
    <col min="4" max="4" width="18.421875" style="1" customWidth="1"/>
    <col min="5" max="16384" width="8.8515625" style="1" customWidth="1"/>
  </cols>
  <sheetData>
    <row r="1" spans="1:4" ht="19.5" customHeight="1">
      <c r="A1" s="173" t="s">
        <v>53</v>
      </c>
      <c r="B1" s="174"/>
      <c r="C1" s="175"/>
      <c r="D1" s="176"/>
    </row>
    <row r="2" spans="1:4" ht="16.5" customHeight="1">
      <c r="A2" s="177"/>
      <c r="B2" s="178"/>
      <c r="C2" s="178"/>
      <c r="D2" s="179"/>
    </row>
    <row r="3" spans="1:4" ht="15.75" customHeight="1">
      <c r="A3" s="177"/>
      <c r="B3" s="178"/>
      <c r="C3" s="178"/>
      <c r="D3" s="179"/>
    </row>
    <row r="4" spans="1:4" ht="17.25" customHeight="1">
      <c r="A4" s="180"/>
      <c r="B4" s="181"/>
      <c r="C4" s="181"/>
      <c r="D4" s="182"/>
    </row>
    <row r="5" spans="1:4" ht="12.75">
      <c r="A5" s="12"/>
      <c r="B5" s="17"/>
      <c r="C5" s="28"/>
      <c r="D5" s="28"/>
    </row>
    <row r="6" spans="1:4" ht="12.75">
      <c r="A6" s="18"/>
      <c r="B6" s="19"/>
      <c r="C6" s="29"/>
      <c r="D6" s="29"/>
    </row>
    <row r="7" spans="1:4" ht="12.75">
      <c r="A7" s="15" t="s">
        <v>10</v>
      </c>
      <c r="B7" s="20">
        <v>2054159</v>
      </c>
      <c r="C7" s="34"/>
      <c r="D7" s="34"/>
    </row>
    <row r="8" spans="1:4" ht="12.75">
      <c r="A8" s="8"/>
      <c r="B8" s="21"/>
      <c r="C8" s="29"/>
      <c r="D8" s="29"/>
    </row>
    <row r="9" spans="1:4" ht="26.25" customHeight="1">
      <c r="A9" s="16" t="s">
        <v>11</v>
      </c>
      <c r="B9" s="20">
        <v>1187809</v>
      </c>
      <c r="C9" s="34"/>
      <c r="D9" s="35"/>
    </row>
    <row r="10" spans="1:4" ht="12.75">
      <c r="A10" s="9"/>
      <c r="B10" s="22"/>
      <c r="C10" s="29"/>
      <c r="D10" s="29"/>
    </row>
    <row r="11" spans="1:4" ht="12.75">
      <c r="A11" s="10" t="s">
        <v>12</v>
      </c>
      <c r="B11" s="31"/>
      <c r="C11" s="32" t="s">
        <v>30</v>
      </c>
      <c r="D11" s="32" t="s">
        <v>31</v>
      </c>
    </row>
    <row r="12" spans="1:4" ht="12.75">
      <c r="A12" s="39" t="s">
        <v>0</v>
      </c>
      <c r="B12" s="30"/>
      <c r="C12" s="33"/>
      <c r="D12" s="33"/>
    </row>
    <row r="13" spans="1:4" ht="12.75">
      <c r="A13" s="60" t="s">
        <v>36</v>
      </c>
      <c r="B13" s="43">
        <v>37500</v>
      </c>
      <c r="C13" s="44" t="s">
        <v>32</v>
      </c>
      <c r="D13" s="45">
        <v>39083</v>
      </c>
    </row>
    <row r="14" spans="1:4" ht="12.75">
      <c r="A14" s="60" t="s">
        <v>37</v>
      </c>
      <c r="B14" s="43">
        <v>50000</v>
      </c>
      <c r="C14" s="44" t="s">
        <v>32</v>
      </c>
      <c r="D14" s="45">
        <v>39203</v>
      </c>
    </row>
    <row r="15" spans="1:4" ht="12.75">
      <c r="A15" s="60" t="s">
        <v>38</v>
      </c>
      <c r="B15" s="43">
        <v>100000</v>
      </c>
      <c r="C15" s="44" t="s">
        <v>32</v>
      </c>
      <c r="D15" s="45">
        <v>39295</v>
      </c>
    </row>
    <row r="16" spans="1:4" ht="12.75">
      <c r="A16" s="60" t="s">
        <v>39</v>
      </c>
      <c r="B16" s="43">
        <v>100000</v>
      </c>
      <c r="C16" s="44" t="s">
        <v>44</v>
      </c>
      <c r="D16" s="44" t="s">
        <v>35</v>
      </c>
    </row>
    <row r="17" spans="1:4" ht="12.75">
      <c r="A17" s="60" t="s">
        <v>40</v>
      </c>
      <c r="B17" s="43">
        <v>100000</v>
      </c>
      <c r="C17" s="44" t="s">
        <v>44</v>
      </c>
      <c r="D17" s="45">
        <v>39600</v>
      </c>
    </row>
    <row r="18" spans="1:4" ht="25.5">
      <c r="A18" s="60" t="s">
        <v>28</v>
      </c>
      <c r="B18" s="43">
        <v>50000</v>
      </c>
      <c r="C18" s="44" t="s">
        <v>33</v>
      </c>
      <c r="D18" s="44" t="s">
        <v>33</v>
      </c>
    </row>
    <row r="19" spans="1:4" ht="12.75">
      <c r="A19" s="39" t="s">
        <v>1</v>
      </c>
      <c r="B19" s="61"/>
      <c r="C19" s="41"/>
      <c r="D19" s="41"/>
    </row>
    <row r="20" spans="1:4" ht="12.75">
      <c r="A20" s="62" t="s">
        <v>41</v>
      </c>
      <c r="B20" s="43">
        <v>400000</v>
      </c>
      <c r="C20" s="44" t="s">
        <v>44</v>
      </c>
      <c r="D20" s="44" t="s">
        <v>35</v>
      </c>
    </row>
    <row r="21" spans="1:4" ht="12.75">
      <c r="A21" s="62" t="s">
        <v>42</v>
      </c>
      <c r="B21" s="43">
        <v>30000</v>
      </c>
      <c r="C21" s="44" t="s">
        <v>34</v>
      </c>
      <c r="D21" s="45">
        <v>39387</v>
      </c>
    </row>
    <row r="22" spans="1:4" ht="15.75">
      <c r="A22" s="62" t="s">
        <v>3</v>
      </c>
      <c r="B22" s="63">
        <v>200000</v>
      </c>
      <c r="C22" s="64" t="s">
        <v>44</v>
      </c>
      <c r="D22" s="45">
        <v>40087</v>
      </c>
    </row>
    <row r="23" spans="1:4" ht="12.75">
      <c r="A23" s="52" t="s">
        <v>7</v>
      </c>
      <c r="B23" s="65">
        <f>SUM(B13:B22)</f>
        <v>1067500</v>
      </c>
      <c r="C23" s="66"/>
      <c r="D23" s="54"/>
    </row>
    <row r="24" spans="1:4" ht="12.75">
      <c r="A24" s="67"/>
      <c r="B24" s="68"/>
      <c r="C24" s="69"/>
      <c r="D24" s="44"/>
    </row>
    <row r="25" spans="1:4" ht="12.75">
      <c r="A25" s="37" t="s">
        <v>13</v>
      </c>
      <c r="B25" s="31"/>
      <c r="C25" s="38" t="s">
        <v>30</v>
      </c>
      <c r="D25" s="38" t="s">
        <v>31</v>
      </c>
    </row>
    <row r="26" spans="1:4" ht="12.75">
      <c r="A26" s="39" t="s">
        <v>2</v>
      </c>
      <c r="B26" s="30"/>
      <c r="C26" s="40"/>
      <c r="D26" s="41"/>
    </row>
    <row r="27" spans="1:4" ht="12.75">
      <c r="A27" s="42" t="s">
        <v>14</v>
      </c>
      <c r="B27" s="43">
        <v>60000</v>
      </c>
      <c r="C27" s="44" t="s">
        <v>44</v>
      </c>
      <c r="D27" s="44" t="s">
        <v>43</v>
      </c>
    </row>
    <row r="28" spans="1:4" ht="12.75">
      <c r="A28" s="42" t="s">
        <v>15</v>
      </c>
      <c r="B28" s="43">
        <v>125000</v>
      </c>
      <c r="C28" s="44" t="s">
        <v>44</v>
      </c>
      <c r="D28" s="45">
        <v>40026</v>
      </c>
    </row>
    <row r="29" spans="1:4" ht="12.75">
      <c r="A29" s="42" t="s">
        <v>16</v>
      </c>
      <c r="B29" s="43">
        <v>60000</v>
      </c>
      <c r="C29" s="44" t="s">
        <v>34</v>
      </c>
      <c r="D29" s="45">
        <v>39479</v>
      </c>
    </row>
    <row r="30" spans="1:4" ht="12.75">
      <c r="A30" s="42" t="s">
        <v>17</v>
      </c>
      <c r="B30" s="43">
        <v>15000</v>
      </c>
      <c r="C30" s="44" t="s">
        <v>44</v>
      </c>
      <c r="D30" s="44" t="s">
        <v>51</v>
      </c>
    </row>
    <row r="31" spans="1:4" ht="12.75">
      <c r="A31" s="42" t="s">
        <v>18</v>
      </c>
      <c r="B31" s="43">
        <v>20000</v>
      </c>
      <c r="C31" s="44" t="s">
        <v>44</v>
      </c>
      <c r="D31" s="44" t="s">
        <v>45</v>
      </c>
    </row>
    <row r="32" spans="1:4" ht="12.75">
      <c r="A32" s="46" t="s">
        <v>19</v>
      </c>
      <c r="B32" s="43">
        <v>25000</v>
      </c>
      <c r="C32" s="44" t="s">
        <v>44</v>
      </c>
      <c r="D32" s="45">
        <v>39417</v>
      </c>
    </row>
    <row r="33" spans="1:4" ht="12.75">
      <c r="A33" s="46" t="s">
        <v>20</v>
      </c>
      <c r="B33" s="43">
        <v>36000</v>
      </c>
      <c r="C33" s="44" t="s">
        <v>44</v>
      </c>
      <c r="D33" s="44" t="s">
        <v>45</v>
      </c>
    </row>
    <row r="34" spans="1:4" ht="12.75">
      <c r="A34" s="46" t="s">
        <v>21</v>
      </c>
      <c r="B34" s="43">
        <v>50000</v>
      </c>
      <c r="C34" s="44" t="s">
        <v>44</v>
      </c>
      <c r="D34" s="45">
        <v>39569</v>
      </c>
    </row>
    <row r="35" spans="1:4" ht="12.75">
      <c r="A35" s="46" t="s">
        <v>52</v>
      </c>
      <c r="B35" s="43">
        <v>50000</v>
      </c>
      <c r="C35" s="44" t="s">
        <v>44</v>
      </c>
      <c r="D35" s="44" t="s">
        <v>46</v>
      </c>
    </row>
    <row r="36" spans="1:4" ht="12.75">
      <c r="A36" s="39" t="s">
        <v>4</v>
      </c>
      <c r="B36" s="30"/>
      <c r="C36" s="41"/>
      <c r="D36" s="41"/>
    </row>
    <row r="37" spans="1:4" s="5" customFormat="1" ht="12.75">
      <c r="A37" s="47" t="s">
        <v>27</v>
      </c>
      <c r="B37" s="48">
        <v>25000</v>
      </c>
      <c r="C37" s="49" t="s">
        <v>44</v>
      </c>
      <c r="D37" s="49" t="s">
        <v>50</v>
      </c>
    </row>
    <row r="38" spans="1:4" s="5" customFormat="1" ht="12.75">
      <c r="A38" s="47" t="s">
        <v>49</v>
      </c>
      <c r="B38" s="48">
        <v>25000</v>
      </c>
      <c r="C38" s="49" t="s">
        <v>33</v>
      </c>
      <c r="D38" s="49" t="s">
        <v>50</v>
      </c>
    </row>
    <row r="39" spans="1:4" s="5" customFormat="1" ht="12.75">
      <c r="A39" s="47" t="s">
        <v>29</v>
      </c>
      <c r="B39" s="48">
        <v>65000</v>
      </c>
      <c r="C39" s="49" t="s">
        <v>34</v>
      </c>
      <c r="D39" s="49" t="s">
        <v>47</v>
      </c>
    </row>
    <row r="40" spans="1:4" s="5" customFormat="1" ht="12.75">
      <c r="A40" s="47" t="s">
        <v>22</v>
      </c>
      <c r="B40" s="48">
        <v>225000</v>
      </c>
      <c r="C40" s="49" t="s">
        <v>44</v>
      </c>
      <c r="D40" s="49" t="s">
        <v>48</v>
      </c>
    </row>
    <row r="41" spans="1:4" s="5" customFormat="1" ht="12.75">
      <c r="A41" s="39" t="s">
        <v>5</v>
      </c>
      <c r="B41" s="30"/>
      <c r="C41" s="41"/>
      <c r="D41" s="41"/>
    </row>
    <row r="42" spans="1:4" s="5" customFormat="1" ht="12.75">
      <c r="A42" s="47" t="s">
        <v>23</v>
      </c>
      <c r="B42" s="48">
        <v>25000</v>
      </c>
      <c r="C42" s="49" t="s">
        <v>44</v>
      </c>
      <c r="D42" s="49" t="s">
        <v>46</v>
      </c>
    </row>
    <row r="43" spans="1:4" s="5" customFormat="1" ht="12.75">
      <c r="A43" s="39" t="s">
        <v>6</v>
      </c>
      <c r="B43" s="30"/>
      <c r="C43" s="41"/>
      <c r="D43" s="41"/>
    </row>
    <row r="44" spans="1:4" s="6" customFormat="1" ht="12.75">
      <c r="A44" s="47" t="s">
        <v>24</v>
      </c>
      <c r="B44" s="48">
        <v>80000</v>
      </c>
      <c r="C44" s="49" t="s">
        <v>34</v>
      </c>
      <c r="D44" s="50">
        <v>39417</v>
      </c>
    </row>
    <row r="45" spans="1:4" ht="12.75">
      <c r="A45" s="46" t="s">
        <v>25</v>
      </c>
      <c r="B45" s="43">
        <v>50000</v>
      </c>
      <c r="C45" s="44" t="s">
        <v>44</v>
      </c>
      <c r="D45" s="44" t="s">
        <v>45</v>
      </c>
    </row>
    <row r="46" spans="1:4" ht="15.75">
      <c r="A46" s="46" t="s">
        <v>54</v>
      </c>
      <c r="B46" s="51">
        <v>12000</v>
      </c>
      <c r="C46" s="44" t="s">
        <v>44</v>
      </c>
      <c r="D46" s="44" t="s">
        <v>45</v>
      </c>
    </row>
    <row r="47" spans="1:4" ht="12.75">
      <c r="A47" s="52" t="s">
        <v>8</v>
      </c>
      <c r="B47" s="53">
        <f>SUM(B27:B46)</f>
        <v>948000</v>
      </c>
      <c r="C47" s="54"/>
      <c r="D47" s="54"/>
    </row>
    <row r="48" spans="1:4" ht="12.75">
      <c r="A48" s="11"/>
      <c r="B48" s="22"/>
      <c r="C48" s="27"/>
      <c r="D48" s="27"/>
    </row>
    <row r="49" spans="1:4" ht="12.75">
      <c r="A49" s="13" t="s">
        <v>26</v>
      </c>
      <c r="B49" s="36"/>
      <c r="C49" s="55"/>
      <c r="D49" s="55"/>
    </row>
    <row r="50" spans="1:4" ht="28.5" customHeight="1">
      <c r="A50" s="56" t="s">
        <v>144</v>
      </c>
      <c r="B50" s="22">
        <v>900000</v>
      </c>
      <c r="C50" s="44" t="s">
        <v>44</v>
      </c>
      <c r="D50" s="45">
        <v>39600</v>
      </c>
    </row>
    <row r="51" spans="1:4" ht="12.75">
      <c r="A51" s="14" t="s">
        <v>9</v>
      </c>
      <c r="B51" s="23">
        <f>+B7+B9-B23-B47-B50</f>
        <v>326468</v>
      </c>
      <c r="C51" s="20"/>
      <c r="D51" s="57"/>
    </row>
    <row r="52" spans="1:4" ht="12.75">
      <c r="A52" s="2"/>
      <c r="C52" s="58"/>
      <c r="D52" s="58"/>
    </row>
    <row r="53" spans="1:4" ht="12.75">
      <c r="A53" s="25"/>
      <c r="B53" s="24"/>
      <c r="C53" s="58"/>
      <c r="D53" s="58"/>
    </row>
    <row r="54" spans="1:4" ht="12.75" customHeight="1">
      <c r="A54" s="59"/>
      <c r="B54" s="24"/>
      <c r="C54" s="58"/>
      <c r="D54" s="58"/>
    </row>
    <row r="55" spans="1:4" ht="12.75">
      <c r="A55" s="25"/>
      <c r="B55" s="24"/>
      <c r="C55" s="26"/>
      <c r="D55" s="26"/>
    </row>
    <row r="56" spans="1:4" ht="12.75">
      <c r="A56" s="4"/>
      <c r="C56" s="26"/>
      <c r="D56" s="26"/>
    </row>
    <row r="57" spans="1:4" ht="12.75">
      <c r="A57" s="3"/>
      <c r="C57" s="26"/>
      <c r="D57" s="26"/>
    </row>
    <row r="58" spans="3:4" ht="12.75">
      <c r="C58" s="26"/>
      <c r="D58" s="26"/>
    </row>
    <row r="59" spans="3:4" ht="12.75">
      <c r="C59" s="26"/>
      <c r="D59" s="26"/>
    </row>
    <row r="60" spans="3:4" ht="12.75">
      <c r="C60" s="26"/>
      <c r="D60" s="26"/>
    </row>
    <row r="61" spans="3:4" ht="12.75">
      <c r="C61" s="26"/>
      <c r="D61" s="26"/>
    </row>
    <row r="62" spans="3:4" ht="12.75">
      <c r="C62" s="26"/>
      <c r="D62" s="26"/>
    </row>
    <row r="63" spans="3:4" ht="12.75">
      <c r="C63" s="26"/>
      <c r="D63" s="26"/>
    </row>
    <row r="64" spans="3:4" ht="12.75">
      <c r="C64" s="26"/>
      <c r="D64" s="26"/>
    </row>
    <row r="65" spans="3:4" ht="12.75">
      <c r="C65" s="26"/>
      <c r="D65" s="26"/>
    </row>
    <row r="66" spans="3:4" ht="12.75">
      <c r="C66" s="26"/>
      <c r="D66" s="26"/>
    </row>
    <row r="67" spans="3:4" ht="12.75">
      <c r="C67" s="26"/>
      <c r="D67" s="26"/>
    </row>
    <row r="68" spans="3:4" ht="12.75">
      <c r="C68" s="26"/>
      <c r="D68" s="26"/>
    </row>
    <row r="69" spans="3:4" ht="12.75">
      <c r="C69" s="26"/>
      <c r="D69" s="26"/>
    </row>
    <row r="70" spans="3:4" ht="12.75">
      <c r="C70" s="26"/>
      <c r="D70" s="26"/>
    </row>
    <row r="71" spans="3:4" ht="12.75">
      <c r="C71" s="26"/>
      <c r="D71" s="26"/>
    </row>
    <row r="72" spans="3:4" ht="12.75">
      <c r="C72" s="26"/>
      <c r="D72" s="26"/>
    </row>
    <row r="73" spans="3:4" ht="12.75">
      <c r="C73" s="26"/>
      <c r="D73" s="26"/>
    </row>
    <row r="74" spans="3:4" ht="12.75">
      <c r="C74" s="26"/>
      <c r="D74" s="26"/>
    </row>
  </sheetData>
  <sheetProtection/>
  <mergeCells count="1">
    <mergeCell ref="A1:D4"/>
  </mergeCells>
  <printOptions horizontalCentered="1"/>
  <pageMargins left="0.75" right="0.75" top="1" bottom="1" header="0.5" footer="0.5"/>
  <pageSetup fitToHeight="1" fitToWidth="1" horizontalDpi="600" verticalDpi="600" orientation="portrait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Rasmussen</dc:creator>
  <cp:keywords/>
  <dc:description/>
  <cp:lastModifiedBy>Microsoft Office User</cp:lastModifiedBy>
  <cp:lastPrinted>2007-10-31T18:53:01Z</cp:lastPrinted>
  <dcterms:created xsi:type="dcterms:W3CDTF">2007-10-11T05:22:11Z</dcterms:created>
  <dcterms:modified xsi:type="dcterms:W3CDTF">2016-07-11T20:03:30Z</dcterms:modified>
  <cp:category>::ODMA\GRPWISE\ASPOSUPT.PUPSC.PUPSCDocs:55283.1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